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e33d692ff06e351/Desktop/Finanzen GaM/"/>
    </mc:Choice>
  </mc:AlternateContent>
  <xr:revisionPtr revIDLastSave="3" documentId="13_ncr:1_{72ACF80D-B8AB-4EFE-9408-FFAF468D5CD1}" xr6:coauthVersionLast="47" xr6:coauthVersionMax="47" xr10:uidLastSave="{69056BF1-4590-4679-91A3-223FC67D666B}"/>
  <bookViews>
    <workbookView xWindow="38280" yWindow="5100" windowWidth="29040" windowHeight="17520" xr2:uid="{1F52D03E-7DB0-4213-8E5B-0D30F6D0981D}"/>
  </bookViews>
  <sheets>
    <sheet name="2024" sheetId="2" r:id="rId1"/>
  </sheets>
  <definedNames>
    <definedName name="_xlnm.Print_Area" localSheetId="0">'2024'!$A$1:$L$47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" i="2" l="1"/>
  <c r="K47" i="2"/>
  <c r="N46" i="2"/>
  <c r="M46" i="2"/>
  <c r="M45" i="2"/>
  <c r="N44" i="2"/>
  <c r="M43" i="2"/>
  <c r="M42" i="2"/>
  <c r="K42" i="2" s="1"/>
  <c r="L42" i="2" s="1"/>
  <c r="O41" i="2"/>
  <c r="N41" i="2"/>
  <c r="K41" i="2" s="1"/>
  <c r="L41" i="2" s="1"/>
  <c r="M39" i="2"/>
  <c r="K39" i="2" s="1"/>
  <c r="L39" i="2" s="1"/>
  <c r="N38" i="2"/>
  <c r="M38" i="2"/>
  <c r="K38" i="2" s="1"/>
  <c r="L38" i="2" s="1"/>
  <c r="M37" i="2"/>
  <c r="K37" i="2" s="1"/>
  <c r="L37" i="2" s="1"/>
  <c r="M36" i="2"/>
  <c r="M35" i="2"/>
  <c r="K35" i="2" s="1"/>
  <c r="L35" i="2" s="1"/>
  <c r="M34" i="2"/>
  <c r="K34" i="2" s="1"/>
  <c r="L34" i="2" s="1"/>
  <c r="N33" i="2"/>
  <c r="K33" i="2" s="1"/>
  <c r="L33" i="2" s="1"/>
  <c r="M33" i="2"/>
  <c r="N32" i="2"/>
  <c r="K32" i="2" s="1"/>
  <c r="L32" i="2" s="1"/>
  <c r="M30" i="2"/>
  <c r="K30" i="2" s="1"/>
  <c r="L30" i="2" s="1"/>
  <c r="M29" i="2"/>
  <c r="K29" i="2" s="1"/>
  <c r="L29" i="2" s="1"/>
  <c r="M28" i="2"/>
  <c r="K28" i="2" s="1"/>
  <c r="L28" i="2" s="1"/>
  <c r="M27" i="2"/>
  <c r="K27" i="2" s="1"/>
  <c r="L27" i="2" s="1"/>
  <c r="M26" i="2"/>
  <c r="K26" i="2" s="1"/>
  <c r="L26" i="2" s="1"/>
  <c r="M25" i="2"/>
  <c r="K25" i="2" s="1"/>
  <c r="L25" i="2" s="1"/>
  <c r="M24" i="2"/>
  <c r="M23" i="2"/>
  <c r="M22" i="2"/>
  <c r="M21" i="2"/>
  <c r="M20" i="2"/>
  <c r="M19" i="2"/>
  <c r="K19" i="2" s="1"/>
  <c r="L19" i="2" s="1"/>
  <c r="M18" i="2"/>
  <c r="O17" i="2"/>
  <c r="N17" i="2"/>
  <c r="M15" i="2"/>
  <c r="K15" i="2" s="1"/>
  <c r="L15" i="2" s="1"/>
  <c r="M13" i="2"/>
  <c r="M11" i="2"/>
  <c r="M10" i="2"/>
  <c r="N9" i="2"/>
  <c r="M9" i="2"/>
  <c r="N8" i="2"/>
  <c r="K8" i="2" s="1"/>
  <c r="L8" i="2" s="1"/>
  <c r="M7" i="2"/>
  <c r="K7" i="2" s="1"/>
  <c r="N6" i="2"/>
  <c r="K6" i="2" s="1"/>
  <c r="K3" i="2"/>
  <c r="M5" i="2"/>
  <c r="K5" i="2" s="1"/>
  <c r="Q4" i="2"/>
  <c r="K4" i="2" s="1"/>
  <c r="L4" i="2" s="1"/>
  <c r="P4" i="2"/>
  <c r="N4" i="2"/>
  <c r="K18" i="2"/>
  <c r="K20" i="2"/>
  <c r="K21" i="2"/>
  <c r="K22" i="2"/>
  <c r="K23" i="2"/>
  <c r="K24" i="2"/>
  <c r="K31" i="2"/>
  <c r="K36" i="2"/>
  <c r="L36" i="2" s="1"/>
  <c r="K40" i="2"/>
  <c r="L40" i="2" s="1"/>
  <c r="K43" i="2"/>
  <c r="K44" i="2"/>
  <c r="K45" i="2"/>
  <c r="K46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K17" i="2"/>
  <c r="J17" i="2"/>
  <c r="K9" i="2"/>
  <c r="K10" i="2"/>
  <c r="K11" i="2"/>
  <c r="K12" i="2"/>
  <c r="K13" i="2"/>
  <c r="K14" i="2"/>
  <c r="K16" i="2"/>
  <c r="J5" i="2"/>
  <c r="J7" i="2"/>
  <c r="J9" i="2"/>
  <c r="J10" i="2"/>
  <c r="J11" i="2"/>
  <c r="J12" i="2"/>
  <c r="J13" i="2"/>
  <c r="J14" i="2"/>
  <c r="J15" i="2"/>
  <c r="J16" i="2"/>
  <c r="J3" i="2"/>
  <c r="B4" i="2"/>
  <c r="J4" i="2" s="1"/>
  <c r="B8" i="2"/>
  <c r="J8" i="2" s="1"/>
  <c r="F6" i="2"/>
  <c r="J6" i="2" s="1"/>
  <c r="L43" i="2" l="1"/>
  <c r="L23" i="2"/>
  <c r="L20" i="2"/>
  <c r="L18" i="2"/>
  <c r="L21" i="2"/>
  <c r="L46" i="2"/>
  <c r="L45" i="2"/>
  <c r="L16" i="2"/>
  <c r="L31" i="2"/>
  <c r="L24" i="2"/>
  <c r="L22" i="2"/>
  <c r="L44" i="2"/>
  <c r="L3" i="2"/>
  <c r="L17" i="2"/>
  <c r="L9" i="2"/>
  <c r="L7" i="2"/>
  <c r="L12" i="2"/>
  <c r="L6" i="2"/>
  <c r="L14" i="2"/>
  <c r="L13" i="2"/>
  <c r="L11" i="2"/>
  <c r="L10" i="2"/>
  <c r="L5" i="2"/>
</calcChain>
</file>

<file path=xl/sharedStrings.xml><?xml version="1.0" encoding="utf-8"?>
<sst xmlns="http://schemas.openxmlformats.org/spreadsheetml/2006/main" count="49" uniqueCount="49">
  <si>
    <t>AAVE</t>
  </si>
  <si>
    <t>Avalanche AVAX</t>
  </si>
  <si>
    <t>Chainlink</t>
  </si>
  <si>
    <t>Bitcoin BTC</t>
  </si>
  <si>
    <t>Swissborg</t>
  </si>
  <si>
    <t>BNB</t>
  </si>
  <si>
    <t>Total Coins</t>
  </si>
  <si>
    <t>CAKE Pancake</t>
  </si>
  <si>
    <t>Enjin ENJ</t>
  </si>
  <si>
    <t>Ethereum ETH</t>
  </si>
  <si>
    <t>IOTA IOT</t>
  </si>
  <si>
    <t>LUNA Terra</t>
  </si>
  <si>
    <t>LUNC Terra Classic</t>
  </si>
  <si>
    <t>Decentraland MANA</t>
  </si>
  <si>
    <t>Polygon MATIC</t>
  </si>
  <si>
    <t>NuCypher NU</t>
  </si>
  <si>
    <t>Ox ZRX</t>
  </si>
  <si>
    <t>SAND The Sandbox</t>
  </si>
  <si>
    <t>SOL Solana</t>
  </si>
  <si>
    <t>Stellar Lumens XLM</t>
  </si>
  <si>
    <t>Tether USD</t>
  </si>
  <si>
    <t>USTC Terra Classic</t>
  </si>
  <si>
    <t>VeChain VET</t>
  </si>
  <si>
    <t>Wilder World WILD</t>
  </si>
  <si>
    <t>Ripple XRP</t>
  </si>
  <si>
    <t>Amp</t>
  </si>
  <si>
    <t>Sundae</t>
  </si>
  <si>
    <t>HBAR</t>
  </si>
  <si>
    <t xml:space="preserve">DOGE </t>
  </si>
  <si>
    <t>NETVR</t>
  </si>
  <si>
    <t>Flare FLR</t>
  </si>
  <si>
    <t>SAROS</t>
  </si>
  <si>
    <t>LL Light Link</t>
  </si>
  <si>
    <t>Compound COMP</t>
  </si>
  <si>
    <t>Celo CGLD</t>
  </si>
  <si>
    <t>The Graph GRT</t>
  </si>
  <si>
    <t>Band Protocol BAND</t>
  </si>
  <si>
    <t>ADA Cardano</t>
  </si>
  <si>
    <t>S Sonic</t>
  </si>
  <si>
    <t>FDUSD</t>
  </si>
  <si>
    <t>HIGH Highstreet</t>
  </si>
  <si>
    <t>SKY</t>
  </si>
  <si>
    <t>NIGHT</t>
  </si>
  <si>
    <t>VTHO</t>
  </si>
  <si>
    <t>CHF 31.12.2025</t>
  </si>
  <si>
    <t>Fetch.ai FET</t>
  </si>
  <si>
    <t>USD / CHF</t>
  </si>
  <si>
    <t>Total Wert:</t>
  </si>
  <si>
    <t>Wert pro 1 Coin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</si>
</sst>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.0000_ ;_ * \-#,##0.0000_ ;_ * &quot;-&quot;??_ ;_ @_ "/>
    <numFmt numFmtId="165" formatCode="_ [$CHF-807]\ * #,##0.00_ ;_ [$CHF-807]\ * \-#,##0.00_ ;_ [$CHF-807]\ * &quot;-&quot;??_ ;_ @_ "/>
    <numFmt numFmtId="166" formatCode="_ [$CHF-807]\ * #,##0.000000_ ;_ [$CHF-807]\ * \-#,##0.000000_ ;_ [$CHF-807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164" fontId="0" fillId="0" borderId="0" xfId="1" applyNumberFormat="1" applyFont="1" applyFill="1"/>
    <xf numFmtId="0" fontId="2" fillId="0" borderId="0" xfId="0" applyFont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165" fontId="2" fillId="0" borderId="0" xfId="0" applyNumberFormat="1" applyFont="1"/>
    <xf numFmtId="0" fontId="5" fillId="0" borderId="0" xfId="0" applyFont="1"/>
    <xf numFmtId="165" fontId="6" fillId="0" borderId="0" xfId="0" applyNumberFormat="1" applyFont="1"/>
    <xf numFmtId="166" fontId="3" fillId="2" borderId="0" xfId="0" applyNumberFormat="1" applyFont="1" applyFill="1"/>
    <xf numFmtId="0" fontId="2" fillId="3" borderId="0" xfId="0" applyFont="1" applyFill="1"/>
    <xf numFmtId="164" fontId="0" fillId="3" borderId="0" xfId="1" applyNumberFormat="1" applyFont="1" applyFill="1"/>
    <xf numFmtId="0" fontId="0" fillId="3" borderId="0" xfId="0" applyFill="1"/>
    <xf numFmtId="164" fontId="3" fillId="3" borderId="0" xfId="1" applyNumberFormat="1" applyFont="1" applyFill="1"/>
    <xf numFmtId="0" fontId="2" fillId="4" borderId="0" xfId="0" applyFont="1" applyFill="1"/>
    <xf numFmtId="0" fontId="0" fillId="4" borderId="0" xfId="0" applyFill="1"/>
    <xf numFmtId="164" fontId="0" fillId="4" borderId="0" xfId="1" applyNumberFormat="1" applyFont="1" applyFill="1"/>
    <xf numFmtId="165" fontId="0" fillId="3" borderId="0" xfId="0" applyNumberFormat="1" applyFill="1"/>
    <xf numFmtId="0" fontId="7" fillId="0" borderId="0" xfId="0" applyFont="1"/>
    <xf numFmtId="165" fontId="2" fillId="0" borderId="1" xfId="0" applyNumberFormat="1" applyFont="1" applyBorder="1"/>
    <xf numFmtId="165" fontId="2" fillId="0" borderId="0" xfId="0" applyNumberFormat="1" applyFont="1" applyAlignment="1">
      <alignment horizontal="center"/>
    </xf>
    <xf numFmtId="0" fontId="2" fillId="5" borderId="0" xfId="0" applyFont="1" applyFill="1"/>
    <xf numFmtId="0" fontId="4" fillId="5" borderId="0" xfId="0" applyFont="1" applyFill="1"/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CD809-1A9B-4B95-8855-FC30044597C8}">
  <sheetPr>
    <pageSetUpPr fitToPage="1"/>
  </sheetPr>
  <dimension ref="A1:Q53"/>
  <sheetViews>
    <sheetView tabSelected="1" topLeftCell="A10" zoomScaleNormal="100" workbookViewId="0">
      <selection activeCell="A2" sqref="A2"/>
    </sheetView>
  </sheetViews>
  <sheetFormatPr baseColWidth="10" defaultRowHeight="15" x14ac:dyDescent="0.25"/>
  <cols>
    <col min="1" max="1" width="19.28515625" bestFit="1" customWidth="1"/>
    <col min="2" max="2" width="12" customWidth="1"/>
    <col min="3" max="3" width="11.42578125" customWidth="1"/>
    <col min="4" max="4" width="13" customWidth="1"/>
    <col min="5" max="5" width="14.5703125" customWidth="1"/>
    <col min="6" max="9" width="11.42578125" customWidth="1"/>
    <col min="10" max="10" width="14.5703125" bestFit="1" customWidth="1"/>
    <col min="11" max="11" width="14.85546875" style="5" bestFit="1" customWidth="1"/>
    <col min="12" max="12" width="23" style="5" customWidth="1"/>
    <col min="13" max="13" width="13.85546875" style="5" bestFit="1" customWidth="1"/>
    <col min="14" max="14" width="14.85546875" style="5" bestFit="1" customWidth="1"/>
    <col min="15" max="16" width="12.85546875" bestFit="1" customWidth="1"/>
  </cols>
  <sheetData>
    <row r="1" spans="1:17" x14ac:dyDescent="0.25">
      <c r="B1" s="23">
        <v>46022</v>
      </c>
      <c r="C1" s="24"/>
      <c r="D1" s="24"/>
      <c r="E1" s="24"/>
      <c r="F1" s="24"/>
      <c r="G1" s="2"/>
      <c r="H1" s="2"/>
      <c r="I1" s="2"/>
      <c r="K1" s="18" t="s">
        <v>46</v>
      </c>
      <c r="L1" s="18">
        <v>0.79225000000000001</v>
      </c>
    </row>
    <row r="2" spans="1:17" x14ac:dyDescent="0.25">
      <c r="B2" s="10"/>
      <c r="C2" s="14"/>
      <c r="D2" s="10"/>
      <c r="E2" s="10"/>
      <c r="F2" s="10"/>
      <c r="G2" s="10"/>
      <c r="H2" s="10"/>
      <c r="I2" s="10"/>
      <c r="J2" s="3" t="s">
        <v>6</v>
      </c>
      <c r="K2" s="6" t="s">
        <v>44</v>
      </c>
      <c r="L2" s="20" t="s">
        <v>48</v>
      </c>
    </row>
    <row r="3" spans="1:17" x14ac:dyDescent="0.25">
      <c r="A3" s="21" t="s">
        <v>0</v>
      </c>
      <c r="B3" s="11">
        <v>1.19092</v>
      </c>
      <c r="C3" s="1"/>
      <c r="D3" s="1"/>
      <c r="E3" s="1"/>
      <c r="F3" s="1"/>
      <c r="G3" s="1"/>
      <c r="H3" s="1"/>
      <c r="I3" s="1"/>
      <c r="J3" s="4">
        <f t="shared" ref="J3:J8" si="0">SUM(B3:I3)</f>
        <v>1.19092</v>
      </c>
      <c r="K3" s="8">
        <f>SUM(M3:Q3)</f>
        <v>140.69999999999999</v>
      </c>
      <c r="L3" s="9">
        <f>K3/J3</f>
        <v>118.14395593322809</v>
      </c>
      <c r="M3" s="17">
        <v>140.69999999999999</v>
      </c>
    </row>
    <row r="4" spans="1:17" x14ac:dyDescent="0.25">
      <c r="A4" s="21" t="s">
        <v>37</v>
      </c>
      <c r="B4" s="11">
        <f>1880.985</f>
        <v>1880.9849999999999</v>
      </c>
      <c r="D4" s="11">
        <v>682.71534971999995</v>
      </c>
      <c r="E4" s="11">
        <v>1154.5284999999999</v>
      </c>
      <c r="F4" s="1"/>
      <c r="G4" s="1"/>
      <c r="H4" s="13">
        <v>5815.3634599999996</v>
      </c>
      <c r="I4" s="13">
        <v>55.832925000000003</v>
      </c>
      <c r="J4" s="4">
        <f t="shared" si="0"/>
        <v>9589.4252347199999</v>
      </c>
      <c r="K4" s="8">
        <f>SUM(M4:Q4)</f>
        <v>2686.9764298520004</v>
      </c>
      <c r="L4" s="9">
        <f>K4/J4</f>
        <v>0.28020203130875726</v>
      </c>
      <c r="M4" s="17">
        <v>532.27</v>
      </c>
      <c r="N4" s="17">
        <f>D4*0.352825*0.79225</f>
        <v>190.83642202666377</v>
      </c>
      <c r="O4" s="17">
        <f>E4*0.352825*0.79225</f>
        <v>322.72027889540311</v>
      </c>
      <c r="P4" s="17">
        <f>H4*0.352825*0.79225</f>
        <v>1625.5429967205976</v>
      </c>
      <c r="Q4" s="17">
        <f>I4*0.352825*0.79225</f>
        <v>15.606732209335783</v>
      </c>
    </row>
    <row r="5" spans="1:17" x14ac:dyDescent="0.25">
      <c r="A5" s="22" t="s">
        <v>25</v>
      </c>
      <c r="C5" s="15">
        <v>51.41</v>
      </c>
      <c r="J5" s="4">
        <f t="shared" si="0"/>
        <v>51.41</v>
      </c>
      <c r="K5" s="8">
        <f>SUM(M5:Q5)</f>
        <v>6.8584527132749998E-2</v>
      </c>
      <c r="L5" s="9">
        <f t="shared" ref="L5:L16" si="1">K5/J5</f>
        <v>1.3340697749999999E-3</v>
      </c>
      <c r="M5" s="17">
        <f>C5*0.0016839*0.79225</f>
        <v>6.8584527132749998E-2</v>
      </c>
    </row>
    <row r="6" spans="1:17" x14ac:dyDescent="0.25">
      <c r="A6" s="21" t="s">
        <v>1</v>
      </c>
      <c r="B6" s="12">
        <v>5.3681200000000002</v>
      </c>
      <c r="D6" s="1"/>
      <c r="E6" s="1"/>
      <c r="F6" s="13">
        <f>4.3783</f>
        <v>4.3783000000000003</v>
      </c>
      <c r="G6" s="1"/>
      <c r="H6" s="1"/>
      <c r="I6" s="1"/>
      <c r="J6" s="4">
        <f t="shared" si="0"/>
        <v>9.7464200000000005</v>
      </c>
      <c r="K6" s="8">
        <f t="shared" ref="K6:K16" si="2">SUM(M6:Q6)</f>
        <v>101.55697467800002</v>
      </c>
      <c r="L6" s="9">
        <f t="shared" si="1"/>
        <v>10.419925950041145</v>
      </c>
      <c r="M6" s="17">
        <v>57.99</v>
      </c>
      <c r="N6" s="17">
        <f>F6*12.56*0.79225</f>
        <v>43.566974678000008</v>
      </c>
    </row>
    <row r="7" spans="1:17" x14ac:dyDescent="0.25">
      <c r="A7" s="22" t="s">
        <v>36</v>
      </c>
      <c r="C7" s="15">
        <v>0.48480000000000001</v>
      </c>
      <c r="J7" s="4">
        <f t="shared" si="0"/>
        <v>0.48480000000000001</v>
      </c>
      <c r="K7" s="8">
        <f t="shared" si="2"/>
        <v>0.12738682186200001</v>
      </c>
      <c r="L7" s="9">
        <f t="shared" si="1"/>
        <v>0.26276159625000001</v>
      </c>
      <c r="M7" s="17">
        <f>C7*0.331665*0.79225</f>
        <v>0.12738682186200001</v>
      </c>
    </row>
    <row r="8" spans="1:17" s="7" customFormat="1" x14ac:dyDescent="0.25">
      <c r="A8" s="21" t="s">
        <v>3</v>
      </c>
      <c r="B8" s="11">
        <f>0.03576008</f>
        <v>3.576008E-2</v>
      </c>
      <c r="C8" s="1"/>
      <c r="D8" s="1"/>
      <c r="E8" s="11">
        <v>0.32318582000000001</v>
      </c>
      <c r="F8" s="1"/>
      <c r="G8" s="1"/>
      <c r="H8" s="1"/>
      <c r="I8" s="1"/>
      <c r="J8" s="4">
        <f t="shared" si="0"/>
        <v>0.35894590000000004</v>
      </c>
      <c r="K8" s="8">
        <f>SUM(M8:Q8)</f>
        <v>25147.93724460643</v>
      </c>
      <c r="L8" s="9">
        <f>K8/J8</f>
        <v>70060.522336670867</v>
      </c>
      <c r="M8" s="17">
        <v>2509.81</v>
      </c>
      <c r="N8" s="17">
        <f>E8*88415*0.79225</f>
        <v>22638.127244606429</v>
      </c>
      <c r="O8"/>
      <c r="P8"/>
      <c r="Q8"/>
    </row>
    <row r="9" spans="1:17" x14ac:dyDescent="0.25">
      <c r="A9" s="21" t="s">
        <v>5</v>
      </c>
      <c r="B9" s="1"/>
      <c r="C9" s="1"/>
      <c r="D9" s="11">
        <v>8.2700000000000004E-6</v>
      </c>
      <c r="E9" s="1"/>
      <c r="F9" s="11">
        <v>4.1458000000000004</v>
      </c>
      <c r="G9" s="1"/>
      <c r="H9" s="1"/>
      <c r="I9" s="1"/>
      <c r="J9" s="4">
        <f t="shared" ref="J9:J16" si="3">SUM(B9:I9)</f>
        <v>4.1458082700000007</v>
      </c>
      <c r="K9" s="8">
        <f t="shared" si="2"/>
        <v>2825.8010132850986</v>
      </c>
      <c r="L9" s="9">
        <f t="shared" si="1"/>
        <v>681.60436499999992</v>
      </c>
      <c r="M9" s="17">
        <f>D9*860.34*0.79225</f>
        <v>5.6368680985500004E-3</v>
      </c>
      <c r="N9" s="17">
        <f>F9*860.34*0.79225</f>
        <v>2825.7953764170002</v>
      </c>
    </row>
    <row r="10" spans="1:17" x14ac:dyDescent="0.25">
      <c r="A10" s="21" t="s">
        <v>7</v>
      </c>
      <c r="B10" s="1"/>
      <c r="C10" s="1"/>
      <c r="D10" s="1"/>
      <c r="E10" s="1"/>
      <c r="F10" s="11">
        <v>76.644760000000005</v>
      </c>
      <c r="G10" s="1"/>
      <c r="H10" s="1"/>
      <c r="I10" s="1"/>
      <c r="J10" s="4">
        <f t="shared" si="3"/>
        <v>76.644760000000005</v>
      </c>
      <c r="K10" s="8">
        <f t="shared" si="2"/>
        <v>112.9425686646</v>
      </c>
      <c r="L10" s="9">
        <f t="shared" si="1"/>
        <v>1.4735849999999999</v>
      </c>
      <c r="M10" s="17">
        <f>F10*1.86*0.79225</f>
        <v>112.9425686646</v>
      </c>
    </row>
    <row r="11" spans="1:17" x14ac:dyDescent="0.25">
      <c r="A11" s="22" t="s">
        <v>34</v>
      </c>
      <c r="C11" s="15">
        <v>3.89</v>
      </c>
      <c r="J11" s="4">
        <f t="shared" si="3"/>
        <v>3.89</v>
      </c>
      <c r="K11" s="8">
        <f t="shared" si="2"/>
        <v>0.37293188917250003</v>
      </c>
      <c r="L11" s="9">
        <f t="shared" si="1"/>
        <v>9.5869380250000011E-2</v>
      </c>
      <c r="M11" s="17">
        <f>C11*0.121009*0.79225</f>
        <v>0.37293188917250003</v>
      </c>
    </row>
    <row r="12" spans="1:17" x14ac:dyDescent="0.25">
      <c r="A12" s="21" t="s">
        <v>2</v>
      </c>
      <c r="B12" s="11">
        <v>17.81559</v>
      </c>
      <c r="C12" s="1"/>
      <c r="D12" s="1"/>
      <c r="E12" s="1"/>
      <c r="F12" s="1"/>
      <c r="G12" s="1"/>
      <c r="H12" s="1"/>
      <c r="I12" s="1"/>
      <c r="J12" s="4">
        <f t="shared" si="3"/>
        <v>17.81559</v>
      </c>
      <c r="K12" s="8">
        <f t="shared" si="2"/>
        <v>177.73</v>
      </c>
      <c r="L12" s="9">
        <f t="shared" si="1"/>
        <v>9.9760939716282184</v>
      </c>
      <c r="M12" s="17">
        <v>177.73</v>
      </c>
    </row>
    <row r="13" spans="1:17" x14ac:dyDescent="0.25">
      <c r="A13" s="22" t="s">
        <v>33</v>
      </c>
      <c r="C13" s="15">
        <v>6.6030000000000005E-2</v>
      </c>
      <c r="J13" s="4">
        <f t="shared" si="3"/>
        <v>6.6030000000000005E-2</v>
      </c>
      <c r="K13" s="8">
        <f t="shared" si="2"/>
        <v>1.3282084718250002</v>
      </c>
      <c r="L13" s="9">
        <f t="shared" si="1"/>
        <v>20.115227500000003</v>
      </c>
      <c r="M13" s="17">
        <f>C13*25.39*0.79225</f>
        <v>1.3282084718250002</v>
      </c>
    </row>
    <row r="14" spans="1:17" x14ac:dyDescent="0.25">
      <c r="A14" s="21" t="s">
        <v>13</v>
      </c>
      <c r="B14" s="11">
        <v>107.19552</v>
      </c>
      <c r="C14" s="1"/>
      <c r="D14" s="1"/>
      <c r="E14" s="1"/>
      <c r="F14" s="1"/>
      <c r="G14" s="1"/>
      <c r="H14" s="1"/>
      <c r="I14" s="1"/>
      <c r="J14" s="4">
        <f t="shared" si="3"/>
        <v>107.19552</v>
      </c>
      <c r="K14" s="8">
        <f t="shared" si="2"/>
        <v>10.9</v>
      </c>
      <c r="L14" s="9">
        <f t="shared" si="1"/>
        <v>0.10168335393120907</v>
      </c>
      <c r="M14" s="17">
        <v>10.9</v>
      </c>
    </row>
    <row r="15" spans="1:17" x14ac:dyDescent="0.25">
      <c r="A15" s="21" t="s">
        <v>28</v>
      </c>
      <c r="E15" s="11">
        <v>2561.2647000000002</v>
      </c>
      <c r="J15" s="4">
        <f t="shared" si="3"/>
        <v>2561.2647000000002</v>
      </c>
      <c r="K15" s="8">
        <f t="shared" si="2"/>
        <v>250.11653217591308</v>
      </c>
      <c r="L15" s="9">
        <f t="shared" si="1"/>
        <v>9.7653527249999997E-2</v>
      </c>
      <c r="M15" s="17">
        <f>E15*0.123261*0.79225</f>
        <v>250.11653217591308</v>
      </c>
    </row>
    <row r="16" spans="1:17" x14ac:dyDescent="0.25">
      <c r="A16" s="21" t="s">
        <v>8</v>
      </c>
      <c r="B16" s="11">
        <v>99.546000000000006</v>
      </c>
      <c r="C16" s="1"/>
      <c r="D16" s="1"/>
      <c r="E16" s="1"/>
      <c r="F16" s="1"/>
      <c r="G16" s="1"/>
      <c r="H16" s="1"/>
      <c r="I16" s="1"/>
      <c r="J16" s="4">
        <f t="shared" si="3"/>
        <v>99.546000000000006</v>
      </c>
      <c r="K16" s="8">
        <f t="shared" si="2"/>
        <v>2.3199999999999998</v>
      </c>
      <c r="L16" s="9">
        <f t="shared" si="1"/>
        <v>2.3305808369999795E-2</v>
      </c>
      <c r="M16" s="17">
        <v>2.3199999999999998</v>
      </c>
    </row>
    <row r="17" spans="1:17" x14ac:dyDescent="0.25">
      <c r="A17" s="21" t="s">
        <v>9</v>
      </c>
      <c r="B17" s="11">
        <v>1.9030286000000001</v>
      </c>
      <c r="C17" s="1"/>
      <c r="D17" s="1"/>
      <c r="E17" s="11">
        <v>0.57453520000000002</v>
      </c>
      <c r="F17" s="11">
        <v>2.0199999999999999E-2</v>
      </c>
      <c r="G17" s="1"/>
      <c r="H17" s="1"/>
      <c r="I17" s="1"/>
      <c r="J17" s="4">
        <f>SUM(B17:I17)</f>
        <v>2.4977638</v>
      </c>
      <c r="K17" s="8">
        <f>SUM(M17:Q17)</f>
        <v>5915.5497884717324</v>
      </c>
      <c r="L17" s="9">
        <f>K17/J17</f>
        <v>2368.3383466730252</v>
      </c>
      <c r="M17" s="17">
        <v>4516.12</v>
      </c>
      <c r="N17" s="17">
        <f>E17*2970.06*0.79225</f>
        <v>1351.8985817647322</v>
      </c>
      <c r="O17" s="17">
        <f>F17*2970.06*0.79225</f>
        <v>47.531206706999996</v>
      </c>
    </row>
    <row r="18" spans="1:17" x14ac:dyDescent="0.25">
      <c r="A18" s="21" t="s">
        <v>39</v>
      </c>
      <c r="B18" s="1"/>
      <c r="C18" s="1"/>
      <c r="D18" s="11">
        <v>2.949744E-2</v>
      </c>
      <c r="E18" s="1"/>
      <c r="F18" s="1"/>
      <c r="G18" s="1"/>
      <c r="H18" s="1"/>
      <c r="I18" s="1"/>
      <c r="J18" s="4">
        <f t="shared" ref="J18:J46" si="4">SUM(B18:I18)</f>
        <v>2.949744E-2</v>
      </c>
      <c r="K18" s="8">
        <f t="shared" ref="K18:K46" si="5">SUM(M18:Q18)</f>
        <v>2.332279510109472E-2</v>
      </c>
      <c r="L18" s="9">
        <f t="shared" ref="L18:L46" si="6">K18/J18</f>
        <v>0.79067183799999996</v>
      </c>
      <c r="M18" s="17">
        <f>D18*0.998008*0.79225</f>
        <v>2.332279510109472E-2</v>
      </c>
    </row>
    <row r="19" spans="1:17" x14ac:dyDescent="0.25">
      <c r="A19" s="22" t="s">
        <v>45</v>
      </c>
      <c r="B19" s="1"/>
      <c r="C19" s="15">
        <v>3.7</v>
      </c>
      <c r="J19" s="4">
        <f t="shared" si="4"/>
        <v>3.7</v>
      </c>
      <c r="K19" s="8">
        <f t="shared" si="5"/>
        <v>0.60832028929999993</v>
      </c>
      <c r="L19" s="9">
        <f t="shared" si="6"/>
        <v>0.16441088899999998</v>
      </c>
      <c r="M19" s="17">
        <f>C19*0.207524*0.79225</f>
        <v>0.60832028929999993</v>
      </c>
    </row>
    <row r="20" spans="1:17" s="7" customFormat="1" x14ac:dyDescent="0.25">
      <c r="A20" s="22" t="s">
        <v>30</v>
      </c>
      <c r="B20"/>
      <c r="C20"/>
      <c r="D20"/>
      <c r="E20" s="12">
        <v>591.35915996999995</v>
      </c>
      <c r="F20"/>
      <c r="G20"/>
      <c r="H20"/>
      <c r="I20"/>
      <c r="J20" s="4">
        <f t="shared" si="4"/>
        <v>591.35915996999995</v>
      </c>
      <c r="K20" s="8">
        <f t="shared" si="5"/>
        <v>5.0808962784025766</v>
      </c>
      <c r="L20" s="9">
        <f t="shared" si="6"/>
        <v>8.5918957925000001E-3</v>
      </c>
      <c r="M20" s="17">
        <f>E20*0.01084493*0.79225</f>
        <v>5.0808962784025766</v>
      </c>
      <c r="N20" s="5"/>
      <c r="O20"/>
      <c r="P20"/>
      <c r="Q20"/>
    </row>
    <row r="21" spans="1:17" x14ac:dyDescent="0.25">
      <c r="A21" s="21" t="s">
        <v>27</v>
      </c>
      <c r="E21" s="11">
        <v>6845.2209000000003</v>
      </c>
      <c r="J21" s="4">
        <f t="shared" si="4"/>
        <v>6845.2209000000003</v>
      </c>
      <c r="K21" s="8">
        <f t="shared" si="5"/>
        <v>605.87708867281106</v>
      </c>
      <c r="L21" s="9">
        <f t="shared" si="6"/>
        <v>8.8510962250000005E-2</v>
      </c>
      <c r="M21" s="17">
        <f>E21*0.111721*0.79225</f>
        <v>605.87708867281106</v>
      </c>
    </row>
    <row r="22" spans="1:17" x14ac:dyDescent="0.25">
      <c r="A22" s="21" t="s">
        <v>40</v>
      </c>
      <c r="D22" s="11">
        <v>0.12093431</v>
      </c>
      <c r="J22" s="4">
        <f t="shared" si="4"/>
        <v>0.12093431</v>
      </c>
      <c r="K22" s="8">
        <f t="shared" si="5"/>
        <v>2.016929412671602E-2</v>
      </c>
      <c r="L22" s="9">
        <f t="shared" si="6"/>
        <v>0.16677892425000002</v>
      </c>
      <c r="M22" s="17">
        <f>D22*0.210513*0.79225</f>
        <v>2.016929412671602E-2</v>
      </c>
    </row>
    <row r="23" spans="1:17" x14ac:dyDescent="0.25">
      <c r="A23" s="21" t="s">
        <v>10</v>
      </c>
      <c r="B23" s="1"/>
      <c r="C23" s="1"/>
      <c r="D23" s="1"/>
      <c r="E23" s="1"/>
      <c r="F23" s="1"/>
      <c r="G23" s="11">
        <v>1577.2318769999999</v>
      </c>
      <c r="H23" s="1"/>
      <c r="I23" s="1"/>
      <c r="J23" s="4">
        <f t="shared" si="4"/>
        <v>1577.2318769999999</v>
      </c>
      <c r="K23" s="8">
        <f t="shared" si="5"/>
        <v>105.01443622260967</v>
      </c>
      <c r="L23" s="9">
        <f t="shared" si="6"/>
        <v>6.658148224999999E-2</v>
      </c>
      <c r="M23" s="17">
        <f>G23*0.084041*0.79225</f>
        <v>105.01443622260967</v>
      </c>
    </row>
    <row r="24" spans="1:17" x14ac:dyDescent="0.25">
      <c r="A24" s="21" t="s">
        <v>32</v>
      </c>
      <c r="E24" s="11">
        <v>1106.3</v>
      </c>
      <c r="J24" s="4">
        <f t="shared" si="4"/>
        <v>1106.3</v>
      </c>
      <c r="K24" s="8">
        <f t="shared" si="5"/>
        <v>6.27380623328225</v>
      </c>
      <c r="L24" s="9">
        <f t="shared" si="6"/>
        <v>5.6709809575000002E-3</v>
      </c>
      <c r="M24" s="17">
        <f>E24*0.00715807*0.79225</f>
        <v>6.27380623328225</v>
      </c>
    </row>
    <row r="25" spans="1:17" x14ac:dyDescent="0.25">
      <c r="A25" s="21" t="s">
        <v>11</v>
      </c>
      <c r="B25" s="1"/>
      <c r="C25" s="1"/>
      <c r="D25" s="11">
        <v>18.177792069999999</v>
      </c>
      <c r="E25" s="1"/>
      <c r="F25" s="1"/>
      <c r="G25" s="1"/>
      <c r="H25" s="1"/>
      <c r="I25" s="1"/>
      <c r="J25" s="4">
        <f t="shared" si="4"/>
        <v>18.177792069999999</v>
      </c>
      <c r="K25" s="8">
        <f t="shared" si="5"/>
        <v>1.3357689514989854</v>
      </c>
      <c r="L25" s="9">
        <f t="shared" si="6"/>
        <v>7.3483564250000008E-2</v>
      </c>
      <c r="M25" s="17">
        <f>D25*0.092753*0.79225</f>
        <v>1.3357689514989854</v>
      </c>
    </row>
    <row r="26" spans="1:17" x14ac:dyDescent="0.25">
      <c r="A26" s="21" t="s">
        <v>12</v>
      </c>
      <c r="B26" s="1"/>
      <c r="C26" s="1"/>
      <c r="D26" s="11">
        <v>315242.12010300002</v>
      </c>
      <c r="E26" s="1"/>
      <c r="F26" s="1"/>
      <c r="G26" s="1"/>
      <c r="H26" s="1"/>
      <c r="I26" s="1"/>
      <c r="J26" s="4">
        <f t="shared" si="4"/>
        <v>315242.12010300002</v>
      </c>
      <c r="K26" s="8">
        <f t="shared" si="5"/>
        <v>9.3057062252186817</v>
      </c>
      <c r="L26" s="9">
        <f t="shared" si="6"/>
        <v>2.9519234999999999E-5</v>
      </c>
      <c r="M26" s="17">
        <f>D26*0.00003726*0.79225</f>
        <v>9.3057062252186817</v>
      </c>
    </row>
    <row r="27" spans="1:17" x14ac:dyDescent="0.25">
      <c r="A27" s="21" t="s">
        <v>29</v>
      </c>
      <c r="E27" s="11">
        <v>202.20374053</v>
      </c>
      <c r="J27" s="4">
        <f t="shared" si="4"/>
        <v>202.20374053</v>
      </c>
      <c r="K27" s="8">
        <f t="shared" si="5"/>
        <v>0.55462388365774751</v>
      </c>
      <c r="L27" s="9">
        <f t="shared" si="6"/>
        <v>2.7428962600000006E-3</v>
      </c>
      <c r="M27" s="17">
        <f>E27*0.00346216*0.79225</f>
        <v>0.55462388365774751</v>
      </c>
    </row>
    <row r="28" spans="1:17" x14ac:dyDescent="0.25">
      <c r="A28" s="21" t="s">
        <v>42</v>
      </c>
      <c r="E28" s="11">
        <v>181.53426042000001</v>
      </c>
      <c r="J28" s="4">
        <f t="shared" si="4"/>
        <v>181.53426042000001</v>
      </c>
      <c r="K28" s="8">
        <f t="shared" si="5"/>
        <v>14.289575188817691</v>
      </c>
      <c r="L28" s="9">
        <f t="shared" si="6"/>
        <v>7.8715583249999999E-2</v>
      </c>
      <c r="M28" s="17">
        <f>E28*0.099357*0.79225</f>
        <v>14.289575188817691</v>
      </c>
    </row>
    <row r="29" spans="1:17" x14ac:dyDescent="0.25">
      <c r="A29" s="21" t="s">
        <v>15</v>
      </c>
      <c r="B29" s="1"/>
      <c r="C29" s="16">
        <v>254.04</v>
      </c>
      <c r="D29" s="1"/>
      <c r="E29" s="1"/>
      <c r="F29" s="1"/>
      <c r="G29" s="1"/>
      <c r="H29" s="1"/>
      <c r="I29" s="1"/>
      <c r="J29" s="4">
        <f t="shared" si="4"/>
        <v>254.04</v>
      </c>
      <c r="K29" s="8">
        <f t="shared" si="5"/>
        <v>5.8226004403931997</v>
      </c>
      <c r="L29" s="9">
        <f t="shared" si="6"/>
        <v>2.2920014329999999E-2</v>
      </c>
      <c r="M29" s="17">
        <f>C29*0.02893028*0.79225</f>
        <v>5.8226004403931997</v>
      </c>
    </row>
    <row r="30" spans="1:17" x14ac:dyDescent="0.25">
      <c r="A30" s="21" t="s">
        <v>16</v>
      </c>
      <c r="B30" s="1"/>
      <c r="C30" s="1"/>
      <c r="D30" s="1"/>
      <c r="E30" s="11">
        <v>209.09636964000001</v>
      </c>
      <c r="F30" s="1"/>
      <c r="G30" s="1"/>
      <c r="H30" s="1"/>
      <c r="I30" s="1"/>
      <c r="J30" s="4">
        <f t="shared" si="4"/>
        <v>209.09636964000001</v>
      </c>
      <c r="K30" s="8">
        <f t="shared" si="5"/>
        <v>27.982547020685381</v>
      </c>
      <c r="L30" s="9">
        <f t="shared" si="6"/>
        <v>0.13382607774999999</v>
      </c>
      <c r="M30" s="17">
        <f>E30*0.168919*0.79225</f>
        <v>27.982547020685381</v>
      </c>
    </row>
    <row r="31" spans="1:17" x14ac:dyDescent="0.25">
      <c r="A31" s="21" t="s">
        <v>14</v>
      </c>
      <c r="B31" s="11">
        <v>899.38005999999996</v>
      </c>
      <c r="C31" s="1"/>
      <c r="D31" s="1"/>
      <c r="E31" s="1"/>
      <c r="F31" s="1"/>
      <c r="G31" s="1"/>
      <c r="H31" s="1"/>
      <c r="I31" s="1"/>
      <c r="J31" s="4">
        <f t="shared" si="4"/>
        <v>899.38005999999996</v>
      </c>
      <c r="K31" s="8">
        <f t="shared" si="5"/>
        <v>75.819999999999993</v>
      </c>
      <c r="L31" s="9">
        <f t="shared" si="6"/>
        <v>8.430251388940066E-2</v>
      </c>
      <c r="M31" s="17">
        <v>75.819999999999993</v>
      </c>
    </row>
    <row r="32" spans="1:17" x14ac:dyDescent="0.25">
      <c r="A32" s="21" t="s">
        <v>24</v>
      </c>
      <c r="B32" s="11">
        <v>1758.4556170000001</v>
      </c>
      <c r="E32" s="11">
        <v>740.81299999999999</v>
      </c>
      <c r="J32" s="4">
        <f t="shared" si="4"/>
        <v>2499.2686170000002</v>
      </c>
      <c r="K32" s="8">
        <f t="shared" si="5"/>
        <v>3713.8091065899998</v>
      </c>
      <c r="L32" s="9">
        <f t="shared" si="6"/>
        <v>1.4859583645106043</v>
      </c>
      <c r="M32" s="17">
        <v>2610.42</v>
      </c>
      <c r="N32" s="17">
        <f>E32*1.88*0.79225</f>
        <v>1103.38910659</v>
      </c>
    </row>
    <row r="33" spans="1:15" x14ac:dyDescent="0.25">
      <c r="A33" s="21" t="s">
        <v>17</v>
      </c>
      <c r="B33" s="1"/>
      <c r="C33" s="1"/>
      <c r="D33" s="1"/>
      <c r="E33" s="11">
        <v>32.7346</v>
      </c>
      <c r="F33" s="11">
        <v>7.3902020000000004</v>
      </c>
      <c r="G33" s="1"/>
      <c r="H33" s="1"/>
      <c r="I33" s="1"/>
      <c r="J33" s="4">
        <f t="shared" si="4"/>
        <v>40.124802000000003</v>
      </c>
      <c r="K33" s="8">
        <f t="shared" si="5"/>
        <v>3.6054941326899907</v>
      </c>
      <c r="L33" s="9">
        <f t="shared" si="6"/>
        <v>8.9856995000000009E-2</v>
      </c>
      <c r="M33" s="17">
        <f>E33*0.11342*0.79225</f>
        <v>2.9414327885270004</v>
      </c>
      <c r="N33" s="17">
        <f>F33*0.11342*0.79225</f>
        <v>0.66406134416299012</v>
      </c>
    </row>
    <row r="34" spans="1:15" x14ac:dyDescent="0.25">
      <c r="A34" s="21" t="s">
        <v>31</v>
      </c>
      <c r="E34" s="11">
        <v>6578.9472999999998</v>
      </c>
      <c r="J34" s="4">
        <f t="shared" si="4"/>
        <v>6578.9472999999998</v>
      </c>
      <c r="K34" s="8">
        <f t="shared" si="5"/>
        <v>16.860278623995203</v>
      </c>
      <c r="L34" s="9">
        <f t="shared" si="6"/>
        <v>2.5627623774999997E-3</v>
      </c>
      <c r="M34" s="17">
        <f>E34*0.00323479*0.79225</f>
        <v>16.860278623995203</v>
      </c>
    </row>
    <row r="35" spans="1:15" x14ac:dyDescent="0.25">
      <c r="A35" s="21" t="s">
        <v>41</v>
      </c>
      <c r="E35" s="11">
        <v>252.93263999999999</v>
      </c>
      <c r="J35" s="4">
        <f t="shared" si="4"/>
        <v>252.93263999999999</v>
      </c>
      <c r="K35" s="8">
        <f t="shared" si="5"/>
        <v>12.13296450685392</v>
      </c>
      <c r="L35" s="9">
        <f t="shared" si="6"/>
        <v>4.7969153E-2</v>
      </c>
      <c r="M35" s="17">
        <f>E35*0.060548*0.79225</f>
        <v>12.13296450685392</v>
      </c>
    </row>
    <row r="36" spans="1:15" x14ac:dyDescent="0.25">
      <c r="A36" s="21" t="s">
        <v>18</v>
      </c>
      <c r="B36" s="1"/>
      <c r="C36" s="1"/>
      <c r="D36" s="1"/>
      <c r="E36" s="11">
        <v>1.7845886900000001</v>
      </c>
      <c r="F36" s="1"/>
      <c r="G36" s="1"/>
      <c r="H36" s="1"/>
      <c r="I36" s="1"/>
      <c r="J36" s="4">
        <f t="shared" si="4"/>
        <v>1.7845886900000001</v>
      </c>
      <c r="K36" s="8">
        <f t="shared" si="5"/>
        <v>176.48969584032159</v>
      </c>
      <c r="L36" s="9">
        <f t="shared" si="6"/>
        <v>98.896567500000003</v>
      </c>
      <c r="M36" s="17">
        <f>E36*124.83*0.79225</f>
        <v>176.48969584032159</v>
      </c>
    </row>
    <row r="37" spans="1:15" x14ac:dyDescent="0.25">
      <c r="A37" s="21" t="s">
        <v>38</v>
      </c>
      <c r="B37" s="1"/>
      <c r="C37" s="1"/>
      <c r="D37" s="11">
        <v>748.37630822000006</v>
      </c>
      <c r="E37" s="1"/>
      <c r="F37" s="1"/>
      <c r="G37" s="1"/>
      <c r="H37" s="1"/>
      <c r="I37" s="1"/>
      <c r="J37" s="4">
        <f t="shared" si="4"/>
        <v>748.37630822000006</v>
      </c>
      <c r="K37" s="8">
        <f t="shared" si="5"/>
        <v>45.621370363391605</v>
      </c>
      <c r="L37" s="9">
        <f t="shared" si="6"/>
        <v>6.0960468500000004E-2</v>
      </c>
      <c r="M37" s="17">
        <f>D37*0.076946*0.79225</f>
        <v>45.621370363391605</v>
      </c>
    </row>
    <row r="38" spans="1:15" x14ac:dyDescent="0.25">
      <c r="A38" s="21" t="s">
        <v>19</v>
      </c>
      <c r="B38" s="1"/>
      <c r="C38" s="1"/>
      <c r="D38" s="11">
        <v>4.9999999999999998E-8</v>
      </c>
      <c r="E38" s="11">
        <v>4436.4290262000004</v>
      </c>
      <c r="F38" s="1"/>
      <c r="G38" s="1"/>
      <c r="H38" s="1"/>
      <c r="I38" s="1"/>
      <c r="J38" s="4">
        <f t="shared" si="4"/>
        <v>4436.4290262500008</v>
      </c>
      <c r="K38" s="8">
        <f t="shared" si="5"/>
        <v>739.70954866016757</v>
      </c>
      <c r="L38" s="9">
        <f t="shared" si="6"/>
        <v>0.16673535049999999</v>
      </c>
      <c r="M38" s="17">
        <f>D38*0.210458*0.79225</f>
        <v>8.3367675250000012E-9</v>
      </c>
      <c r="N38" s="17">
        <f>E38*0.210458*0.79225</f>
        <v>739.7095486518308</v>
      </c>
    </row>
    <row r="39" spans="1:15" x14ac:dyDescent="0.25">
      <c r="A39" s="22" t="s">
        <v>26</v>
      </c>
      <c r="H39" s="12">
        <v>111.879892</v>
      </c>
      <c r="J39" s="4">
        <f t="shared" si="4"/>
        <v>111.879892</v>
      </c>
      <c r="K39" s="8">
        <f t="shared" si="5"/>
        <v>0.16521730529367926</v>
      </c>
      <c r="L39" s="9">
        <f t="shared" si="6"/>
        <v>1.476738155E-3</v>
      </c>
      <c r="M39" s="17">
        <f>H39*0.00186398*0.79225</f>
        <v>0.16521730529367926</v>
      </c>
    </row>
    <row r="40" spans="1:15" x14ac:dyDescent="0.25">
      <c r="A40" s="21" t="s">
        <v>4</v>
      </c>
      <c r="B40" s="11">
        <v>6076.6707470000001</v>
      </c>
      <c r="C40" s="1"/>
      <c r="D40" s="1"/>
      <c r="E40" s="1"/>
      <c r="F40" s="1"/>
      <c r="G40" s="1"/>
      <c r="H40" s="1"/>
      <c r="I40" s="1"/>
      <c r="J40" s="4">
        <f t="shared" si="4"/>
        <v>6076.6707470000001</v>
      </c>
      <c r="K40" s="8">
        <f t="shared" si="5"/>
        <v>1187.81</v>
      </c>
      <c r="L40" s="9">
        <f t="shared" si="6"/>
        <v>0.19547052151647537</v>
      </c>
      <c r="M40" s="17">
        <v>1187.81</v>
      </c>
    </row>
    <row r="41" spans="1:15" x14ac:dyDescent="0.25">
      <c r="A41" s="21" t="s">
        <v>20</v>
      </c>
      <c r="B41" s="11">
        <v>1779.4347660000001</v>
      </c>
      <c r="C41" s="1"/>
      <c r="D41" s="11">
        <v>170.68932217</v>
      </c>
      <c r="E41" s="11">
        <v>10964.966476379999</v>
      </c>
      <c r="F41" s="1"/>
      <c r="G41" s="1"/>
      <c r="H41" s="1"/>
      <c r="I41" s="1"/>
      <c r="J41" s="4">
        <f t="shared" si="4"/>
        <v>12915.090564549999</v>
      </c>
      <c r="K41" s="8">
        <f t="shared" si="5"/>
        <v>10221.878705337658</v>
      </c>
      <c r="L41" s="9">
        <f t="shared" si="6"/>
        <v>0.7914678301517446</v>
      </c>
      <c r="M41" s="17">
        <v>1408.31</v>
      </c>
      <c r="N41" s="17">
        <f>D41*0.999019*0.79225</f>
        <v>135.09595621738762</v>
      </c>
      <c r="O41" s="17">
        <f>E41*0.999019*0.79225</f>
        <v>8678.4727491202702</v>
      </c>
    </row>
    <row r="42" spans="1:15" x14ac:dyDescent="0.25">
      <c r="A42" s="22" t="s">
        <v>35</v>
      </c>
      <c r="C42" s="15">
        <v>6.69</v>
      </c>
      <c r="J42" s="4">
        <f t="shared" si="4"/>
        <v>6.69</v>
      </c>
      <c r="K42" s="8">
        <f t="shared" si="5"/>
        <v>0.18488431863157498</v>
      </c>
      <c r="L42" s="9">
        <f t="shared" si="6"/>
        <v>2.7635922067499995E-2</v>
      </c>
      <c r="M42" s="17">
        <f>C42*0.03488283*0.79225</f>
        <v>0.18488431863157498</v>
      </c>
    </row>
    <row r="43" spans="1:15" x14ac:dyDescent="0.25">
      <c r="A43" s="21" t="s">
        <v>21</v>
      </c>
      <c r="B43" s="1"/>
      <c r="C43" s="1"/>
      <c r="D43" s="11">
        <v>567.13225698999997</v>
      </c>
      <c r="E43" s="1"/>
      <c r="F43" s="1"/>
      <c r="G43" s="1"/>
      <c r="H43" s="1"/>
      <c r="I43" s="1"/>
      <c r="J43" s="4">
        <f t="shared" si="4"/>
        <v>567.13225698999997</v>
      </c>
      <c r="K43" s="8">
        <f t="shared" si="5"/>
        <v>2.7853388826657137</v>
      </c>
      <c r="L43" s="9">
        <f t="shared" si="6"/>
        <v>4.9112686649999994E-3</v>
      </c>
      <c r="M43" s="17">
        <f>D43*0.00619914*0.79225</f>
        <v>2.7853388826657137</v>
      </c>
    </row>
    <row r="44" spans="1:15" x14ac:dyDescent="0.25">
      <c r="A44" s="21" t="s">
        <v>22</v>
      </c>
      <c r="B44" s="11">
        <v>49033.983</v>
      </c>
      <c r="C44" s="1"/>
      <c r="D44" s="1"/>
      <c r="E44" s="11">
        <v>10904.2</v>
      </c>
      <c r="F44" s="1"/>
      <c r="G44" s="1"/>
      <c r="H44" s="1"/>
      <c r="I44" s="1"/>
      <c r="J44" s="4">
        <f t="shared" si="4"/>
        <v>59938.183000000005</v>
      </c>
      <c r="K44" s="8">
        <f t="shared" si="5"/>
        <v>523.60010999905148</v>
      </c>
      <c r="L44" s="9">
        <f t="shared" si="6"/>
        <v>8.7356687138656075E-3</v>
      </c>
      <c r="M44" s="17">
        <v>430.02</v>
      </c>
      <c r="N44" s="17">
        <f>E44*0.01083247*0.79225</f>
        <v>93.580109999051516</v>
      </c>
    </row>
    <row r="45" spans="1:15" x14ac:dyDescent="0.25">
      <c r="A45" s="21" t="s">
        <v>43</v>
      </c>
      <c r="B45" s="1"/>
      <c r="C45" s="1"/>
      <c r="D45" s="1"/>
      <c r="E45" s="11">
        <v>863.11085300000002</v>
      </c>
      <c r="F45" s="1"/>
      <c r="G45" s="1"/>
      <c r="H45" s="1"/>
      <c r="I45" s="1"/>
      <c r="J45" s="4">
        <f t="shared" si="4"/>
        <v>863.11085300000002</v>
      </c>
      <c r="K45" s="8">
        <f t="shared" si="5"/>
        <v>0.52592392780822794</v>
      </c>
      <c r="L45" s="9">
        <f t="shared" si="6"/>
        <v>6.0933531999999993E-4</v>
      </c>
      <c r="M45" s="17">
        <f>E45*0.00076912*0.79225</f>
        <v>0.52592392780822794</v>
      </c>
    </row>
    <row r="46" spans="1:15" x14ac:dyDescent="0.25">
      <c r="A46" s="21" t="s">
        <v>23</v>
      </c>
      <c r="B46" s="1"/>
      <c r="C46" s="1"/>
      <c r="D46" s="1"/>
      <c r="E46" s="11">
        <v>203.2901</v>
      </c>
      <c r="F46" s="11">
        <v>124.73272</v>
      </c>
      <c r="G46" s="1"/>
      <c r="H46" s="1"/>
      <c r="I46" s="1"/>
      <c r="J46" s="4">
        <f t="shared" si="4"/>
        <v>328.02282000000002</v>
      </c>
      <c r="K46" s="8">
        <f t="shared" si="5"/>
        <v>11.345940134434722</v>
      </c>
      <c r="L46" s="9">
        <f t="shared" si="6"/>
        <v>3.458887444E-2</v>
      </c>
      <c r="M46" s="17">
        <f>E46*0.04365904*0.79225</f>
        <v>7.0315757437950444</v>
      </c>
      <c r="N46" s="17">
        <f>F46*0.04365904*0.79225</f>
        <v>4.3143643906396774</v>
      </c>
    </row>
    <row r="47" spans="1:15" ht="15.75" thickBot="1" x14ac:dyDescent="0.3">
      <c r="E47" s="1"/>
      <c r="J47" t="s">
        <v>47</v>
      </c>
      <c r="K47" s="19">
        <f>SUM(K3:K46)</f>
        <v>54888.961103562615</v>
      </c>
    </row>
    <row r="48" spans="1:15" ht="15.75" thickTop="1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</sheetData>
  <sortState xmlns:xlrd2="http://schemas.microsoft.com/office/spreadsheetml/2017/richdata2" ref="A3:Q46">
    <sortCondition ref="A3:A46"/>
    <sortCondition ref="B3:B46"/>
    <sortCondition ref="E3:E46"/>
  </sortState>
  <mergeCells count="1">
    <mergeCell ref="B1:F1"/>
  </mergeCells>
  <printOptions gridLines="1"/>
  <pageMargins left="0.51181102362204722" right="0.51181102362204722" top="0.59055118110236227" bottom="0.59055118110236227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2024</vt:lpstr>
      <vt:lpstr>'2024'!Druckbereich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 --</dc:creator>
  <cp:lastModifiedBy>Mel --</cp:lastModifiedBy>
  <cp:lastPrinted>2026-02-06T15:39:32Z</cp:lastPrinted>
  <dcterms:created xsi:type="dcterms:W3CDTF">2024-06-09T08:47:11Z</dcterms:created>
  <dcterms:modified xsi:type="dcterms:W3CDTF">2026-05-14T14:43:11Z</dcterms:modified>
</cp:coreProperties>
</file>